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שיעור אחר\2018\להדפסה\"/>
    </mc:Choice>
  </mc:AlternateContent>
  <bookViews>
    <workbookView xWindow="0" yWindow="0" windowWidth="28800" windowHeight="12195"/>
  </bookViews>
  <sheets>
    <sheet name="תוצאות המשחק - לשופט 1" sheetId="1" r:id="rId1"/>
    <sheet name="תוצאות המשחק - לשופט 2" sheetId="11" r:id="rId2"/>
    <sheet name="מחשבון" sheetId="9" r:id="rId3"/>
    <sheet name="טיוטה" sheetId="1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1" l="1"/>
  <c r="H27" i="11"/>
  <c r="G27" i="11"/>
  <c r="C26" i="11"/>
  <c r="C25" i="11"/>
  <c r="C24" i="11"/>
  <c r="C23" i="11"/>
  <c r="C27" i="11" s="1"/>
  <c r="I22" i="11"/>
  <c r="H22" i="11"/>
  <c r="G22" i="11"/>
  <c r="I15" i="11"/>
  <c r="I12" i="11"/>
  <c r="H12" i="11"/>
  <c r="G12" i="11"/>
  <c r="F11" i="11"/>
  <c r="L10" i="11"/>
  <c r="I10" i="11"/>
  <c r="I11" i="11" s="1"/>
  <c r="I21" i="11" s="1"/>
  <c r="H10" i="11"/>
  <c r="G10" i="11"/>
  <c r="K10" i="11" s="1"/>
  <c r="I9" i="11"/>
  <c r="H9" i="11"/>
  <c r="G9" i="11"/>
  <c r="M8" i="11"/>
  <c r="Q8" i="11" s="1"/>
  <c r="U8" i="11" s="1"/>
  <c r="L8" i="11"/>
  <c r="H15" i="11" s="1"/>
  <c r="K8" i="11"/>
  <c r="O8" i="11" s="1"/>
  <c r="S8" i="11" s="1"/>
  <c r="I8" i="11"/>
  <c r="H8" i="11"/>
  <c r="G8" i="11"/>
  <c r="M7" i="11"/>
  <c r="M9" i="11" s="1"/>
  <c r="L7" i="11"/>
  <c r="L9" i="11" s="1"/>
  <c r="K7" i="11"/>
  <c r="O7" i="11" s="1"/>
  <c r="S7" i="11" s="1"/>
  <c r="I7" i="11"/>
  <c r="H7" i="11"/>
  <c r="H11" i="11" s="1"/>
  <c r="H21" i="11" s="1"/>
  <c r="G7" i="11"/>
  <c r="P8" i="11" l="1"/>
  <c r="T8" i="11" s="1"/>
  <c r="K9" i="11"/>
  <c r="O9" i="11" s="1"/>
  <c r="S9" i="11" s="1"/>
  <c r="Q7" i="11"/>
  <c r="U7" i="11" s="1"/>
  <c r="M10" i="11"/>
  <c r="P7" i="11"/>
  <c r="T7" i="11" s="1"/>
  <c r="G11" i="11"/>
  <c r="G21" i="11" s="1"/>
  <c r="G15" i="11"/>
  <c r="I10" i="1"/>
  <c r="H10" i="1"/>
  <c r="G10" i="1"/>
  <c r="I9" i="1"/>
  <c r="H9" i="1"/>
  <c r="G9" i="1"/>
  <c r="I8" i="1"/>
  <c r="H8" i="1"/>
  <c r="G8" i="1"/>
  <c r="I7" i="1"/>
  <c r="H7" i="1"/>
  <c r="G7" i="1"/>
  <c r="H27" i="1"/>
  <c r="I27" i="1"/>
  <c r="G27" i="1"/>
  <c r="I22" i="1"/>
  <c r="H22" i="1"/>
  <c r="G22" i="1"/>
  <c r="Q9" i="11" l="1"/>
  <c r="U9" i="11" s="1"/>
  <c r="P9" i="11"/>
  <c r="T9" i="11" s="1"/>
  <c r="W9" i="11" s="1"/>
  <c r="O10" i="11"/>
  <c r="S10" i="11" s="1"/>
  <c r="I6" i="10"/>
  <c r="I22" i="10" s="1"/>
  <c r="H6" i="10"/>
  <c r="H12" i="10" s="1"/>
  <c r="G6" i="10"/>
  <c r="G22" i="10" s="1"/>
  <c r="I26" i="10"/>
  <c r="H26" i="10"/>
  <c r="G26" i="10"/>
  <c r="C26" i="10"/>
  <c r="I25" i="10"/>
  <c r="H25" i="10"/>
  <c r="G25" i="10"/>
  <c r="C25" i="10"/>
  <c r="I24" i="10"/>
  <c r="H24" i="10"/>
  <c r="G24" i="10"/>
  <c r="C24" i="10"/>
  <c r="I23" i="10"/>
  <c r="I27" i="10" s="1"/>
  <c r="H23" i="10"/>
  <c r="H27" i="10" s="1"/>
  <c r="G23" i="10"/>
  <c r="G27" i="10" s="1"/>
  <c r="C23" i="10"/>
  <c r="C27" i="10" s="1"/>
  <c r="I11" i="10"/>
  <c r="H11" i="10"/>
  <c r="G11" i="10"/>
  <c r="F11" i="10"/>
  <c r="M10" i="10"/>
  <c r="L10" i="10"/>
  <c r="K10" i="10"/>
  <c r="M8" i="10"/>
  <c r="L8" i="10"/>
  <c r="H15" i="10" s="1"/>
  <c r="K8" i="10"/>
  <c r="O8" i="10" s="1"/>
  <c r="S8" i="10" s="1"/>
  <c r="M7" i="10"/>
  <c r="L7" i="10"/>
  <c r="P7" i="10" s="1"/>
  <c r="T7" i="10" s="1"/>
  <c r="K7" i="10"/>
  <c r="C6" i="9"/>
  <c r="C5" i="9"/>
  <c r="C4" i="9"/>
  <c r="C3" i="9"/>
  <c r="P10" i="11" l="1"/>
  <c r="T10" i="11" s="1"/>
  <c r="T11" i="11" s="1"/>
  <c r="X9" i="11"/>
  <c r="Y9" i="11"/>
  <c r="Q10" i="11"/>
  <c r="U10" i="11" s="1"/>
  <c r="S11" i="11"/>
  <c r="I12" i="10"/>
  <c r="M9" i="10"/>
  <c r="K9" i="10"/>
  <c r="H22" i="10"/>
  <c r="G12" i="10"/>
  <c r="G15" i="10"/>
  <c r="Q7" i="10"/>
  <c r="U7" i="10" s="1"/>
  <c r="P8" i="10"/>
  <c r="T8" i="10" s="1"/>
  <c r="Q8" i="10"/>
  <c r="U8" i="10" s="1"/>
  <c r="L9" i="10"/>
  <c r="I15" i="10"/>
  <c r="O7" i="10"/>
  <c r="S7" i="10" s="1"/>
  <c r="C7" i="9"/>
  <c r="I11" i="1"/>
  <c r="I21" i="1" s="1"/>
  <c r="H11" i="1"/>
  <c r="H21" i="1" s="1"/>
  <c r="G11" i="1"/>
  <c r="G21" i="1" s="1"/>
  <c r="C26" i="1"/>
  <c r="C25" i="1"/>
  <c r="C24" i="1"/>
  <c r="C23" i="1"/>
  <c r="Y10" i="11" l="1"/>
  <c r="W10" i="11"/>
  <c r="W11" i="11" s="1"/>
  <c r="X10" i="11"/>
  <c r="X11" i="11" s="1"/>
  <c r="U11" i="11"/>
  <c r="Y11" i="11"/>
  <c r="P9" i="10"/>
  <c r="T9" i="10" s="1"/>
  <c r="P10" i="10"/>
  <c r="T10" i="10" s="1"/>
  <c r="Q9" i="10"/>
  <c r="U9" i="10" s="1"/>
  <c r="O9" i="10"/>
  <c r="S9" i="10" s="1"/>
  <c r="C27" i="1"/>
  <c r="I12" i="1"/>
  <c r="H12" i="1"/>
  <c r="G12" i="1"/>
  <c r="M10" i="1"/>
  <c r="M8" i="1"/>
  <c r="M7" i="1"/>
  <c r="L10" i="1"/>
  <c r="L8" i="1"/>
  <c r="L7" i="1"/>
  <c r="K10" i="1"/>
  <c r="K8" i="1"/>
  <c r="K7" i="1"/>
  <c r="F11" i="1"/>
  <c r="H29" i="11" l="1"/>
  <c r="H32" i="11"/>
  <c r="H14" i="11"/>
  <c r="H13" i="11"/>
  <c r="G29" i="11"/>
  <c r="G14" i="11"/>
  <c r="G13" i="11"/>
  <c r="G16" i="11" s="1"/>
  <c r="G32" i="11"/>
  <c r="I32" i="11"/>
  <c r="I13" i="11"/>
  <c r="I16" i="11" s="1"/>
  <c r="I31" i="11" s="1"/>
  <c r="I29" i="11"/>
  <c r="I14" i="11"/>
  <c r="W9" i="10"/>
  <c r="Q10" i="10"/>
  <c r="U10" i="10" s="1"/>
  <c r="O10" i="10"/>
  <c r="S10" i="10" s="1"/>
  <c r="S11" i="10" s="1"/>
  <c r="Y9" i="10"/>
  <c r="X9" i="10"/>
  <c r="T11" i="10"/>
  <c r="L9" i="1"/>
  <c r="K9" i="1"/>
  <c r="M9" i="1"/>
  <c r="O8" i="1"/>
  <c r="S8" i="1" s="1"/>
  <c r="O7" i="1"/>
  <c r="S7" i="1" s="1"/>
  <c r="P7" i="1"/>
  <c r="T7" i="1" s="1"/>
  <c r="Q8" i="1"/>
  <c r="U8" i="1" s="1"/>
  <c r="P8" i="1"/>
  <c r="T8" i="1" s="1"/>
  <c r="Q7" i="1"/>
  <c r="U7" i="1" s="1"/>
  <c r="G15" i="1"/>
  <c r="H15" i="1"/>
  <c r="I15" i="1"/>
  <c r="H16" i="11" l="1"/>
  <c r="H31" i="11" s="1"/>
  <c r="G31" i="11"/>
  <c r="K16" i="11"/>
  <c r="Y10" i="10"/>
  <c r="Y11" i="10" s="1"/>
  <c r="I32" i="10" s="1"/>
  <c r="X10" i="10"/>
  <c r="X11" i="10" s="1"/>
  <c r="H32" i="10" s="1"/>
  <c r="U11" i="10"/>
  <c r="W10" i="10"/>
  <c r="W11" i="10" s="1"/>
  <c r="G32" i="10" s="1"/>
  <c r="O9" i="1"/>
  <c r="S9" i="1" s="1"/>
  <c r="Q9" i="1"/>
  <c r="U9" i="1" s="1"/>
  <c r="P9" i="1"/>
  <c r="T9" i="1" s="1"/>
  <c r="G29" i="10" l="1"/>
  <c r="G13" i="10"/>
  <c r="G16" i="10" s="1"/>
  <c r="G14" i="10"/>
  <c r="H29" i="10"/>
  <c r="H13" i="10"/>
  <c r="H14" i="10"/>
  <c r="I14" i="10"/>
  <c r="I29" i="10"/>
  <c r="I13" i="10"/>
  <c r="I16" i="10" s="1"/>
  <c r="I31" i="10" s="1"/>
  <c r="O10" i="1"/>
  <c r="S10" i="1" s="1"/>
  <c r="S11" i="1" s="1"/>
  <c r="Q10" i="1"/>
  <c r="U10" i="1" s="1"/>
  <c r="U11" i="1" s="1"/>
  <c r="X9" i="1"/>
  <c r="P10" i="1"/>
  <c r="T10" i="1" s="1"/>
  <c r="Y9" i="1"/>
  <c r="W9" i="1"/>
  <c r="H16" i="10" l="1"/>
  <c r="H31" i="10" s="1"/>
  <c r="G31" i="10"/>
  <c r="Y10" i="1"/>
  <c r="Y11" i="1" s="1"/>
  <c r="T11" i="1"/>
  <c r="W10" i="1"/>
  <c r="W11" i="1" s="1"/>
  <c r="X10" i="1"/>
  <c r="X11" i="1" s="1"/>
  <c r="G32" i="1" l="1"/>
  <c r="G29" i="1"/>
  <c r="I29" i="1"/>
  <c r="I32" i="1"/>
  <c r="H32" i="1"/>
  <c r="H29" i="1"/>
  <c r="K16" i="10"/>
  <c r="H13" i="1"/>
  <c r="G14" i="1"/>
  <c r="G13" i="1"/>
  <c r="I13" i="1"/>
  <c r="I14" i="1"/>
  <c r="H14" i="1"/>
  <c r="H16" i="1" l="1"/>
  <c r="H31" i="1" s="1"/>
  <c r="G16" i="1"/>
  <c r="G31" i="1" s="1"/>
  <c r="I16" i="1"/>
  <c r="I31" i="1" s="1"/>
  <c r="K16" i="1" l="1"/>
</calcChain>
</file>

<file path=xl/sharedStrings.xml><?xml version="1.0" encoding="utf-8"?>
<sst xmlns="http://schemas.openxmlformats.org/spreadsheetml/2006/main" count="187" uniqueCount="29">
  <si>
    <t>מחשבון</t>
  </si>
  <si>
    <t>סה"כ פלאפונים</t>
  </si>
  <si>
    <t>קבוצה</t>
  </si>
  <si>
    <t>שיווק</t>
  </si>
  <si>
    <t>מחיר</t>
  </si>
  <si>
    <t>ניקוד</t>
  </si>
  <si>
    <t>גבוה</t>
  </si>
  <si>
    <t>בינוני</t>
  </si>
  <si>
    <t>נמוך</t>
  </si>
  <si>
    <t>עלויות</t>
  </si>
  <si>
    <t>עלות מוצר</t>
  </si>
  <si>
    <t>רווח</t>
  </si>
  <si>
    <t>קבוצה א</t>
  </si>
  <si>
    <t>קבוצה ב</t>
  </si>
  <si>
    <t>קבוצה ג</t>
  </si>
  <si>
    <t>כמות נמכרת</t>
  </si>
  <si>
    <t>מכירות</t>
  </si>
  <si>
    <t>עלות המכר</t>
  </si>
  <si>
    <t>הוצאות קבועות</t>
  </si>
  <si>
    <t>מאפיין</t>
  </si>
  <si>
    <t>חדשנות</t>
  </si>
  <si>
    <t>איכות</t>
  </si>
  <si>
    <t>עלות האסטרטגיה</t>
  </si>
  <si>
    <t>כמה פלאפונים נמכרו</t>
  </si>
  <si>
    <t>עלות</t>
  </si>
  <si>
    <t>בחירה</t>
  </si>
  <si>
    <t>למילוי</t>
  </si>
  <si>
    <t>כמות פלאפונים שנמכרו</t>
  </si>
  <si>
    <r>
      <t xml:space="preserve">רווחים </t>
    </r>
    <r>
      <rPr>
        <b/>
        <sz val="26"/>
        <color rgb="FFFFFFFF"/>
        <rFont val="Arial"/>
        <family val="2"/>
        <scheme val="minor"/>
      </rPr>
      <t>(באלפים)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</si>
</sst>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  <charset val="177"/>
      <scheme val="minor"/>
    </font>
    <font>
      <sz val="12"/>
      <color rgb="FF3F3F76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  <font>
      <b/>
      <sz val="36"/>
      <color rgb="FFFFFFFF"/>
      <name val="Arial"/>
      <family val="2"/>
      <scheme val="minor"/>
    </font>
    <font>
      <sz val="36"/>
      <name val="Arial"/>
      <family val="2"/>
      <scheme val="minor"/>
    </font>
    <font>
      <sz val="12"/>
      <color theme="1"/>
      <name val="Arial"/>
      <family val="2"/>
      <scheme val="minor"/>
    </font>
    <font>
      <b/>
      <sz val="36"/>
      <color theme="1"/>
      <name val="Arial"/>
      <family val="2"/>
      <scheme val="minor"/>
    </font>
    <font>
      <b/>
      <sz val="12"/>
      <color rgb="FFFA7D00"/>
      <name val="Arial"/>
      <family val="2"/>
      <charset val="177"/>
      <scheme val="minor"/>
    </font>
    <font>
      <b/>
      <sz val="20"/>
      <color theme="1"/>
      <name val="Arial"/>
      <family val="2"/>
      <scheme val="minor"/>
    </font>
    <font>
      <sz val="20"/>
      <color theme="1"/>
      <name val="Arial"/>
      <family val="2"/>
      <scheme val="minor"/>
    </font>
    <font>
      <b/>
      <sz val="20"/>
      <color rgb="FFFA7D00"/>
      <name val="Arial"/>
      <family val="2"/>
      <charset val="177"/>
      <scheme val="minor"/>
    </font>
    <font>
      <b/>
      <sz val="26"/>
      <color rgb="FFFFFFFF"/>
      <name val="Arial"/>
      <family val="2"/>
      <scheme val="minor"/>
    </font>
    <font>
      <sz val="12"/>
      <color theme="0"/>
      <name val="Arial"/>
      <family val="2"/>
      <charset val="177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DEB340"/>
        <bgColor indexed="64"/>
      </patternFill>
    </fill>
    <fill>
      <patternFill patternType="solid">
        <fgColor rgb="FFF3E5CE"/>
        <bgColor indexed="64"/>
      </patternFill>
    </fill>
    <fill>
      <patternFill patternType="solid">
        <fgColor rgb="FFF9F2E8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8" fillId="6" borderId="1" applyNumberFormat="0" applyAlignment="0" applyProtection="0"/>
  </cellStyleXfs>
  <cellXfs count="22">
    <xf numFmtId="0" fontId="0" fillId="0" borderId="0" xfId="0"/>
    <xf numFmtId="164" fontId="0" fillId="0" borderId="0" xfId="1" applyNumberFormat="1" applyFont="1"/>
    <xf numFmtId="0" fontId="3" fillId="0" borderId="0" xfId="0" applyFont="1"/>
    <xf numFmtId="164" fontId="0" fillId="0" borderId="0" xfId="0" applyNumberFormat="1"/>
    <xf numFmtId="3" fontId="0" fillId="0" borderId="0" xfId="0" applyNumberFormat="1"/>
    <xf numFmtId="3" fontId="3" fillId="0" borderId="0" xfId="0" applyNumberFormat="1" applyFont="1"/>
    <xf numFmtId="0" fontId="2" fillId="2" borderId="1" xfId="2"/>
    <xf numFmtId="0" fontId="4" fillId="3" borderId="2" xfId="0" applyFont="1" applyFill="1" applyBorder="1" applyAlignment="1">
      <alignment horizontal="center" vertical="center" wrapText="1" readingOrder="2"/>
    </xf>
    <xf numFmtId="0" fontId="4" fillId="3" borderId="3" xfId="0" applyFont="1" applyFill="1" applyBorder="1" applyAlignment="1">
      <alignment horizontal="center" vertical="center" wrapText="1" readingOrder="2"/>
    </xf>
    <xf numFmtId="0" fontId="5" fillId="4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center" wrapText="1" readingOrder="2"/>
    </xf>
    <xf numFmtId="0" fontId="5" fillId="5" borderId="4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6" fillId="0" borderId="0" xfId="0" applyFont="1"/>
    <xf numFmtId="0" fontId="4" fillId="3" borderId="5" xfId="0" applyFont="1" applyFill="1" applyBorder="1" applyAlignment="1">
      <alignment horizontal="center" vertical="center" wrapText="1" readingOrder="2"/>
    </xf>
    <xf numFmtId="3" fontId="7" fillId="0" borderId="0" xfId="0" applyNumberFormat="1" applyFont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 readingOrder="2"/>
    </xf>
    <xf numFmtId="0" fontId="9" fillId="0" borderId="0" xfId="0" applyFont="1"/>
    <xf numFmtId="0" fontId="10" fillId="0" borderId="0" xfId="0" applyFont="1"/>
    <xf numFmtId="0" fontId="11" fillId="6" borderId="1" xfId="3" applyFont="1" applyAlignment="1">
      <alignment horizontal="center"/>
    </xf>
    <xf numFmtId="0" fontId="12" fillId="3" borderId="0" xfId="0" applyFont="1" applyFill="1" applyBorder="1" applyAlignment="1">
      <alignment horizontal="center" vertical="center" wrapText="1" readingOrder="2"/>
    </xf>
    <xf numFmtId="3" fontId="13" fillId="0" borderId="0" xfId="0" applyNumberFormat="1" applyFont="1"/>
  </cellXfs>
  <cellStyles count="4">
    <cellStyle name="Comma" xfId="1" builtinId="3"/>
    <cellStyle name="Normal" xfId="0" builtinId="0"/>
    <cellStyle name="חישוב" xfId="3" builtinId="22"/>
    <cellStyle name="קלט" xfId="2" builtinId="2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rightToLeft="1" tabSelected="1" topLeftCell="F21" zoomScaleNormal="100" workbookViewId="0">
      <selection activeCell="G39" sqref="G39"/>
    </sheetView>
  </sheetViews>
  <sheetFormatPr defaultRowHeight="15" x14ac:dyDescent="0.2"/>
  <cols>
    <col min="1" max="1" width="11.21875" hidden="1" customWidth="1"/>
    <col min="2" max="3" width="12.21875" hidden="1" customWidth="1"/>
    <col min="4" max="4" width="10.77734375" hidden="1" customWidth="1"/>
    <col min="5" max="5" width="0" hidden="1" customWidth="1"/>
    <col min="6" max="6" width="31.21875" customWidth="1"/>
    <col min="7" max="10" width="26.6640625" customWidth="1"/>
    <col min="11" max="11" width="10.88671875" bestFit="1" customWidth="1"/>
    <col min="23" max="25" width="9.77734375" bestFit="1" customWidth="1"/>
  </cols>
  <sheetData>
    <row r="1" spans="1:25" hidden="1" x14ac:dyDescent="0.2">
      <c r="A1" t="s">
        <v>0</v>
      </c>
    </row>
    <row r="2" spans="1:25" hidden="1" x14ac:dyDescent="0.2"/>
    <row r="3" spans="1:25" hidden="1" x14ac:dyDescent="0.2">
      <c r="A3" t="s">
        <v>1</v>
      </c>
      <c r="B3">
        <v>100000</v>
      </c>
    </row>
    <row r="4" spans="1:25" hidden="1" x14ac:dyDescent="0.2"/>
    <row r="5" spans="1:25" hidden="1" x14ac:dyDescent="0.2">
      <c r="B5" t="s">
        <v>2</v>
      </c>
      <c r="O5" t="s">
        <v>5</v>
      </c>
      <c r="S5" t="s">
        <v>5</v>
      </c>
    </row>
    <row r="6" spans="1:25" ht="15.75" hidden="1" x14ac:dyDescent="0.25">
      <c r="A6" s="2" t="s">
        <v>9</v>
      </c>
      <c r="B6" s="2" t="s">
        <v>6</v>
      </c>
      <c r="C6" s="2" t="s">
        <v>7</v>
      </c>
      <c r="D6" s="2" t="s">
        <v>8</v>
      </c>
      <c r="F6" t="s">
        <v>5</v>
      </c>
      <c r="G6" t="s">
        <v>12</v>
      </c>
      <c r="H6" t="s">
        <v>13</v>
      </c>
      <c r="I6" t="s">
        <v>14</v>
      </c>
      <c r="W6" t="s">
        <v>15</v>
      </c>
    </row>
    <row r="7" spans="1:25" ht="15.75" hidden="1" x14ac:dyDescent="0.25">
      <c r="A7" s="2" t="s">
        <v>20</v>
      </c>
      <c r="B7" s="1">
        <v>4500000</v>
      </c>
      <c r="C7" s="1">
        <v>3500000</v>
      </c>
      <c r="D7" s="1">
        <v>1500000</v>
      </c>
      <c r="F7">
        <v>150</v>
      </c>
      <c r="G7" s="6" t="str">
        <f>G23</f>
        <v>גבוה</v>
      </c>
      <c r="H7" s="6" t="str">
        <f t="shared" ref="H7:I7" si="0">H23</f>
        <v>נמוך</v>
      </c>
      <c r="I7" s="6" t="str">
        <f t="shared" si="0"/>
        <v>בינוני</v>
      </c>
      <c r="K7">
        <f>HLOOKUP(G7,$A$6:$D$9,2,0)</f>
        <v>4500000</v>
      </c>
      <c r="L7">
        <f>HLOOKUP(H7,$A$6:$D$9,2,0)</f>
        <v>1500000</v>
      </c>
      <c r="M7">
        <f>HLOOKUP(I7,$A$6:$D$9,2,0)</f>
        <v>3500000</v>
      </c>
      <c r="O7">
        <f>_xlfn.RANK.AVG(K7,$K7:$M7,1)*2+IF(G7="גבוה",3,IF(G7="בינוני",2,0))</f>
        <v>9</v>
      </c>
      <c r="P7">
        <f t="shared" ref="P7:P9" si="1">_xlfn.RANK.AVG(L7,$K7:$M7,1)*2+IF(H7="גבוה",3,IF(H7="בינוני",2,0))</f>
        <v>2</v>
      </c>
      <c r="Q7">
        <f t="shared" ref="Q7:Q9" si="2">_xlfn.RANK.AVG(M7,$K7:$M7,1)*2+IF(I7="גבוה",3,IF(I7="בינוני",2,0))</f>
        <v>6</v>
      </c>
      <c r="S7">
        <f t="shared" ref="S7:S8" si="3">O7^3*$F7</f>
        <v>109350</v>
      </c>
      <c r="T7">
        <f t="shared" ref="T7:T9" si="4">P7^3*$F7</f>
        <v>1200</v>
      </c>
      <c r="U7">
        <f t="shared" ref="U7:U9" si="5">Q7^3*$F7</f>
        <v>32400</v>
      </c>
    </row>
    <row r="8" spans="1:25" ht="15.75" hidden="1" x14ac:dyDescent="0.25">
      <c r="A8" s="2" t="s">
        <v>3</v>
      </c>
      <c r="B8" s="1">
        <v>2500000</v>
      </c>
      <c r="C8" s="1">
        <v>1500000</v>
      </c>
      <c r="D8" s="1">
        <v>500000</v>
      </c>
      <c r="F8">
        <v>400</v>
      </c>
      <c r="G8" s="6" t="str">
        <f t="shared" ref="G8:I8" si="6">G24</f>
        <v>נמוך</v>
      </c>
      <c r="H8" s="6" t="str">
        <f t="shared" si="6"/>
        <v>בינוני</v>
      </c>
      <c r="I8" s="6" t="str">
        <f t="shared" si="6"/>
        <v>נמוך</v>
      </c>
      <c r="K8">
        <f>HLOOKUP(G8,$A$6:$D$9,3,0)</f>
        <v>500000</v>
      </c>
      <c r="L8">
        <f>HLOOKUP(H8,$A$6:$D$9,3,0)</f>
        <v>1500000</v>
      </c>
      <c r="M8">
        <f>HLOOKUP(I8,$A$6:$D$9,3,0)</f>
        <v>500000</v>
      </c>
      <c r="O8">
        <f t="shared" ref="O8:O9" si="7">_xlfn.RANK.AVG(K8,$K8:$M8,1)*2+IF(G8="גבוה",3,IF(G8="בינוני",2,0))</f>
        <v>3</v>
      </c>
      <c r="P8">
        <f t="shared" si="1"/>
        <v>8</v>
      </c>
      <c r="Q8">
        <f t="shared" si="2"/>
        <v>3</v>
      </c>
      <c r="S8">
        <f t="shared" si="3"/>
        <v>10800</v>
      </c>
      <c r="T8">
        <f t="shared" si="4"/>
        <v>204800</v>
      </c>
      <c r="U8">
        <f t="shared" si="5"/>
        <v>10800</v>
      </c>
    </row>
    <row r="9" spans="1:25" ht="15.75" hidden="1" x14ac:dyDescent="0.25">
      <c r="A9" s="2" t="s">
        <v>10</v>
      </c>
      <c r="B9" s="1">
        <v>1000</v>
      </c>
      <c r="C9" s="1">
        <v>500</v>
      </c>
      <c r="D9" s="1">
        <v>250</v>
      </c>
      <c r="F9">
        <v>1000</v>
      </c>
      <c r="G9" s="6" t="str">
        <f t="shared" ref="G9:I9" si="8">G25</f>
        <v>נמוך</v>
      </c>
      <c r="H9" s="6" t="str">
        <f t="shared" si="8"/>
        <v>גבוה</v>
      </c>
      <c r="I9" s="6" t="str">
        <f t="shared" si="8"/>
        <v>בינוני</v>
      </c>
      <c r="K9">
        <f>HLOOKUP(G9,$A$6:$D$9,4,0)+(K7+K8)/100000</f>
        <v>300</v>
      </c>
      <c r="L9">
        <f t="shared" ref="L9:M9" si="9">HLOOKUP(H9,$A$6:$D$9,4,0)+(L7+L8)/100000</f>
        <v>1030</v>
      </c>
      <c r="M9">
        <f t="shared" si="9"/>
        <v>540</v>
      </c>
      <c r="O9">
        <f t="shared" si="7"/>
        <v>2</v>
      </c>
      <c r="P9">
        <f t="shared" si="1"/>
        <v>9</v>
      </c>
      <c r="Q9">
        <f t="shared" si="2"/>
        <v>6</v>
      </c>
      <c r="S9">
        <f>O9^3*$F9</f>
        <v>8000</v>
      </c>
      <c r="T9">
        <f t="shared" si="4"/>
        <v>729000</v>
      </c>
      <c r="U9">
        <f t="shared" si="5"/>
        <v>216000</v>
      </c>
      <c r="W9" s="1">
        <f>SUM(S7:S9)/SUM($S$7:$U$9)*0.35*$B$3</f>
        <v>3391.8780958142693</v>
      </c>
      <c r="X9" s="1">
        <f>SUM(T7:T9)/SUM($S$7:$U$9)*0.35*$B$3</f>
        <v>24747.608424395959</v>
      </c>
      <c r="Y9" s="1">
        <f>SUM(U7:U9)/SUM($S$7:$U$9)*0.35*$B$3</f>
        <v>6860.5134797897681</v>
      </c>
    </row>
    <row r="10" spans="1:25" ht="15.75" hidden="1" x14ac:dyDescent="0.25">
      <c r="A10" s="2" t="s">
        <v>4</v>
      </c>
      <c r="B10">
        <v>3000</v>
      </c>
      <c r="C10">
        <v>2000</v>
      </c>
      <c r="D10">
        <v>1000</v>
      </c>
      <c r="F10">
        <v>130</v>
      </c>
      <c r="G10" s="6" t="str">
        <f t="shared" ref="G10:I10" si="10">G26</f>
        <v>גבוה</v>
      </c>
      <c r="H10" s="6" t="str">
        <f t="shared" si="10"/>
        <v>גבוה</v>
      </c>
      <c r="I10" s="6" t="str">
        <f t="shared" si="10"/>
        <v>נמוך</v>
      </c>
      <c r="K10">
        <f>HLOOKUP(G10,$A$6:$D$10,5,0)</f>
        <v>3000</v>
      </c>
      <c r="L10">
        <f>HLOOKUP(H10,$A$6:$D$10,5,0)</f>
        <v>3000</v>
      </c>
      <c r="M10">
        <f>HLOOKUP(I10,$A$6:$D$10,5,0)</f>
        <v>1000</v>
      </c>
      <c r="O10">
        <f>(_xlfn.RANK.AVG(K10,$K10:$M10,0)+IF(G10="גבוה",0,IF(G10="בינוני",1,5)))*(AVERAGE(O7:O9)^0.5)</f>
        <v>3.2403703492039302</v>
      </c>
      <c r="P10">
        <f>(_xlfn.RANK.AVG(L10,$K10:$M10,0)+IF(H10="גבוה",0,IF(H10="בינוני",1,5)))*(AVERAGE(P7:P9)^0.5)</f>
        <v>3.7749172176353749</v>
      </c>
      <c r="Q10">
        <f>(_xlfn.RANK.AVG(M10,$K10:$M10,0)+IF(I10="גבוה",0,IF(I10="בינוני",1,5)))*(AVERAGE(Q7:Q9)^0.5)</f>
        <v>17.888543819998318</v>
      </c>
      <c r="S10">
        <f>O10^2*$F10</f>
        <v>1365</v>
      </c>
      <c r="T10">
        <f>P10^2*$F10</f>
        <v>1852.5</v>
      </c>
      <c r="U10">
        <f>Q10^2*$F10</f>
        <v>41600.000000000007</v>
      </c>
      <c r="W10" s="1">
        <f>S10/SUM($S10:$U10)*0.65*$B$3</f>
        <v>1979.6954314720811</v>
      </c>
      <c r="X10" s="1">
        <f>T10/SUM($S10:$U10)*0.65*$B$3</f>
        <v>2686.7295141406812</v>
      </c>
      <c r="Y10" s="1">
        <f>U10/SUM($S10:$U10)*0.65*$B$3</f>
        <v>60333.575054387242</v>
      </c>
    </row>
    <row r="11" spans="1:25" ht="15.75" hidden="1" x14ac:dyDescent="0.25">
      <c r="A11" s="2"/>
      <c r="B11" s="3"/>
      <c r="F11" s="13">
        <f>SUM(F7:F10)</f>
        <v>1680</v>
      </c>
      <c r="G11" s="5">
        <f>HLOOKUP(G7,$B$12:$D$17,2,0)+HLOOKUP(G8,$B$12:$D$17,3,0)+HLOOKUP(G9,$B$12:$D$17,4,0)+HLOOKUP(G10,$B$12:$D$17,5,0)</f>
        <v>6000000</v>
      </c>
      <c r="H11" s="5">
        <f>HLOOKUP(H7,$B$12:$D$17,2,0)+HLOOKUP(H8,$B$12:$D$17,3,0)+HLOOKUP(H9,$B$12:$D$17,4,0)+HLOOKUP(H10,$B$12:$D$17,5,0)</f>
        <v>8000000</v>
      </c>
      <c r="I11" s="5">
        <f>HLOOKUP(I7,$B$12:$D$17,2,0)+HLOOKUP(I8,$B$12:$D$17,3,0)+HLOOKUP(I9,$B$12:$D$17,4,0)+HLOOKUP(I10,$B$12:$D$17,5,0)</f>
        <v>10000000</v>
      </c>
      <c r="S11" s="2">
        <f>SUM(S7:S10)</f>
        <v>129515</v>
      </c>
      <c r="T11" s="2">
        <f>SUM(T7:T10)</f>
        <v>936852.5</v>
      </c>
      <c r="U11" s="2">
        <f>SUM(U7:U10)</f>
        <v>300800</v>
      </c>
      <c r="W11" s="1">
        <f>W9+W10</f>
        <v>5371.5735272863503</v>
      </c>
      <c r="X11" s="1">
        <f>X9+X10</f>
        <v>27434.337938536642</v>
      </c>
      <c r="Y11" s="1">
        <f>Y9+Y10</f>
        <v>67194.088534177004</v>
      </c>
    </row>
    <row r="12" spans="1:25" ht="15.75" hidden="1" x14ac:dyDescent="0.25">
      <c r="B12" s="2" t="s">
        <v>6</v>
      </c>
      <c r="C12" s="2" t="s">
        <v>7</v>
      </c>
      <c r="D12" s="2" t="s">
        <v>8</v>
      </c>
      <c r="G12" t="str">
        <f>G6</f>
        <v>קבוצה א</v>
      </c>
      <c r="H12" t="str">
        <f>H6</f>
        <v>קבוצה ב</v>
      </c>
      <c r="I12" t="str">
        <f>I6</f>
        <v>קבוצה ג</v>
      </c>
    </row>
    <row r="13" spans="1:25" ht="15.75" hidden="1" x14ac:dyDescent="0.25">
      <c r="A13" s="2" t="s">
        <v>20</v>
      </c>
      <c r="B13" s="3">
        <v>6500000</v>
      </c>
      <c r="C13" s="3">
        <v>4500000</v>
      </c>
      <c r="D13" s="3">
        <v>1500000</v>
      </c>
      <c r="F13" s="2" t="s">
        <v>16</v>
      </c>
      <c r="G13" s="4">
        <f>W11*K10+G11-1000000</f>
        <v>21114720.581859052</v>
      </c>
      <c r="H13" s="4">
        <f>X11*L10+H11-1000000</f>
        <v>89303013.815609932</v>
      </c>
      <c r="I13" s="4">
        <f>Y11*M10+I11-1000000</f>
        <v>76194088.534177005</v>
      </c>
    </row>
    <row r="14" spans="1:25" ht="15.75" hidden="1" x14ac:dyDescent="0.25">
      <c r="A14" s="2" t="s">
        <v>3</v>
      </c>
      <c r="B14" s="3">
        <v>5500000</v>
      </c>
      <c r="C14" s="3">
        <v>3500000</v>
      </c>
      <c r="D14" s="3">
        <v>1500000</v>
      </c>
      <c r="F14" s="2" t="s">
        <v>17</v>
      </c>
      <c r="G14" s="4">
        <f>W11*K9</f>
        <v>1611472.058185905</v>
      </c>
      <c r="H14" s="4">
        <f>X11*L9</f>
        <v>28257368.076692741</v>
      </c>
      <c r="I14" s="4">
        <f>Y11*M9</f>
        <v>36284807.808455579</v>
      </c>
    </row>
    <row r="15" spans="1:25" ht="15.75" hidden="1" x14ac:dyDescent="0.25">
      <c r="A15" s="2" t="s">
        <v>10</v>
      </c>
      <c r="B15" s="3">
        <v>7500000</v>
      </c>
      <c r="C15" s="3">
        <v>5500000</v>
      </c>
      <c r="D15" s="3">
        <v>2500000</v>
      </c>
      <c r="F15" s="2" t="s">
        <v>18</v>
      </c>
      <c r="G15" s="4">
        <f>K8+K7</f>
        <v>5000000</v>
      </c>
      <c r="H15" s="4">
        <f>L8+L7</f>
        <v>3000000</v>
      </c>
      <c r="I15" s="4">
        <f>M8+M7</f>
        <v>4000000</v>
      </c>
    </row>
    <row r="16" spans="1:25" ht="15.75" hidden="1" x14ac:dyDescent="0.25">
      <c r="A16" s="2" t="s">
        <v>4</v>
      </c>
      <c r="B16" s="3">
        <v>-4500000</v>
      </c>
      <c r="C16" s="3">
        <v>-2500000</v>
      </c>
      <c r="D16" s="3">
        <v>-1500000</v>
      </c>
      <c r="F16" s="2" t="s">
        <v>11</v>
      </c>
      <c r="G16" s="5">
        <f>G13-G14-G15</f>
        <v>14503248.523673147</v>
      </c>
      <c r="H16" s="5">
        <f>H13-H14-H15</f>
        <v>58045645.738917187</v>
      </c>
      <c r="I16" s="5">
        <f>I13-I14-I15</f>
        <v>35909280.725721426</v>
      </c>
      <c r="K16" s="4">
        <f>SUM(G16:I16)</f>
        <v>108458174.98831177</v>
      </c>
    </row>
    <row r="17" spans="1:9" hidden="1" x14ac:dyDescent="0.2"/>
    <row r="18" spans="1:9" hidden="1" x14ac:dyDescent="0.2"/>
    <row r="19" spans="1:9" hidden="1" x14ac:dyDescent="0.2"/>
    <row r="20" spans="1:9" hidden="1" x14ac:dyDescent="0.2"/>
    <row r="21" spans="1:9" ht="15.75" thickBot="1" x14ac:dyDescent="0.25">
      <c r="F21" t="s">
        <v>26</v>
      </c>
      <c r="G21" s="21">
        <f>G11</f>
        <v>6000000</v>
      </c>
      <c r="H21" s="21">
        <f>H11</f>
        <v>8000000</v>
      </c>
      <c r="I21" s="21">
        <f>I11</f>
        <v>10000000</v>
      </c>
    </row>
    <row r="22" spans="1:9" ht="45.75" thickBot="1" x14ac:dyDescent="0.25">
      <c r="B22" t="s">
        <v>12</v>
      </c>
      <c r="F22" s="7" t="s">
        <v>19</v>
      </c>
      <c r="G22" s="7" t="str">
        <f>G6</f>
        <v>קבוצה א</v>
      </c>
      <c r="H22" s="7" t="str">
        <f t="shared" ref="H22:I22" si="11">H6</f>
        <v>קבוצה ב</v>
      </c>
      <c r="I22" s="7" t="str">
        <f t="shared" si="11"/>
        <v>קבוצה ג</v>
      </c>
    </row>
    <row r="23" spans="1:9" ht="46.5" thickTop="1" thickBot="1" x14ac:dyDescent="0.3">
      <c r="A23" s="2" t="s">
        <v>20</v>
      </c>
      <c r="B23" s="6" t="s">
        <v>7</v>
      </c>
      <c r="C23" s="4">
        <f>HLOOKUP($B23,$B$12:$D$17,2,0)</f>
        <v>4500000</v>
      </c>
      <c r="F23" s="8" t="s">
        <v>20</v>
      </c>
      <c r="G23" s="9" t="s">
        <v>6</v>
      </c>
      <c r="H23" s="9" t="s">
        <v>8</v>
      </c>
      <c r="I23" s="9" t="s">
        <v>7</v>
      </c>
    </row>
    <row r="24" spans="1:9" ht="45.75" thickBot="1" x14ac:dyDescent="0.3">
      <c r="A24" s="2" t="s">
        <v>3</v>
      </c>
      <c r="B24" s="6" t="s">
        <v>7</v>
      </c>
      <c r="C24" s="4">
        <f>HLOOKUP($B24,$B$12:$D$17,3,0)</f>
        <v>3500000</v>
      </c>
      <c r="F24" s="10" t="s">
        <v>3</v>
      </c>
      <c r="G24" s="11" t="s">
        <v>8</v>
      </c>
      <c r="H24" s="11" t="s">
        <v>7</v>
      </c>
      <c r="I24" s="11" t="s">
        <v>8</v>
      </c>
    </row>
    <row r="25" spans="1:9" ht="45.75" thickBot="1" x14ac:dyDescent="0.3">
      <c r="A25" s="2" t="s">
        <v>10</v>
      </c>
      <c r="B25" s="6" t="s">
        <v>7</v>
      </c>
      <c r="C25" s="4">
        <f>HLOOKUP($B25,$B$12:$D$17,4,0)</f>
        <v>5500000</v>
      </c>
      <c r="F25" s="10" t="s">
        <v>21</v>
      </c>
      <c r="G25" s="12" t="s">
        <v>8</v>
      </c>
      <c r="H25" s="12" t="s">
        <v>6</v>
      </c>
      <c r="I25" s="12" t="s">
        <v>7</v>
      </c>
    </row>
    <row r="26" spans="1:9" ht="45.75" thickBot="1" x14ac:dyDescent="0.3">
      <c r="A26" s="2" t="s">
        <v>4</v>
      </c>
      <c r="B26" s="6" t="s">
        <v>7</v>
      </c>
      <c r="C26" s="4">
        <f>HLOOKUP($B26,$B$12:$D$17,5,0)</f>
        <v>-2500000</v>
      </c>
      <c r="F26" s="10" t="s">
        <v>4</v>
      </c>
      <c r="G26" s="11" t="s">
        <v>6</v>
      </c>
      <c r="H26" s="11" t="s">
        <v>6</v>
      </c>
      <c r="I26" s="11" t="s">
        <v>8</v>
      </c>
    </row>
    <row r="27" spans="1:9" ht="90" hidden="1" x14ac:dyDescent="0.2">
      <c r="C27" s="4">
        <f>SUM(C23:C26)</f>
        <v>11000000</v>
      </c>
      <c r="F27" s="14" t="s">
        <v>22</v>
      </c>
      <c r="G27" s="15">
        <f>HLOOKUP(G23,$B$12:$D$17,2,0)+HLOOKUP(G24,$B$12:$D$17,3,0)+HLOOKUP(G25,$B$12:$D$17,4,0)+HLOOKUP(G26,$B$12:$D$17,5,0)</f>
        <v>6000000</v>
      </c>
      <c r="H27" s="15">
        <f>HLOOKUP(H23,$B$12:$D$17,2,0)+HLOOKUP(H24,$B$12:$D$17,3,0)+HLOOKUP(H25,$B$12:$D$17,4,0)+HLOOKUP(H26,$B$12:$D$17,5,0)</f>
        <v>8000000</v>
      </c>
      <c r="I27" s="15">
        <f>HLOOKUP(I23,$B$12:$D$17,2,0)+HLOOKUP(I24,$B$12:$D$17,3,0)+HLOOKUP(I25,$B$12:$D$17,4,0)+HLOOKUP(I26,$B$12:$D$17,5,0)</f>
        <v>10000000</v>
      </c>
    </row>
    <row r="28" spans="1:9" hidden="1" x14ac:dyDescent="0.2"/>
    <row r="29" spans="1:9" ht="135" hidden="1" x14ac:dyDescent="0.2">
      <c r="F29" s="14" t="s">
        <v>23</v>
      </c>
      <c r="G29" s="15">
        <f>ROUND(W11,-3)</f>
        <v>5000</v>
      </c>
      <c r="H29" s="15">
        <f>ROUND(X11,-3)</f>
        <v>27000</v>
      </c>
      <c r="I29" s="15">
        <f>ROUND(Y11,-3)</f>
        <v>67000</v>
      </c>
    </row>
    <row r="31" spans="1:9" ht="78.75" x14ac:dyDescent="0.2">
      <c r="F31" s="16" t="s">
        <v>28</v>
      </c>
      <c r="G31" s="15">
        <f>ROUND(G16,-4)/1000</f>
        <v>14500</v>
      </c>
      <c r="H31" s="15">
        <f>ROUND(H16,-4)/1000</f>
        <v>58050</v>
      </c>
      <c r="I31" s="15">
        <f>ROUND(I16,-4)/1000</f>
        <v>35910</v>
      </c>
    </row>
    <row r="32" spans="1:9" ht="67.5" x14ac:dyDescent="0.2">
      <c r="F32" s="20" t="s">
        <v>27</v>
      </c>
      <c r="G32" s="15">
        <f>W11</f>
        <v>5371.5735272863503</v>
      </c>
      <c r="H32" s="15">
        <f>X11</f>
        <v>27434.337938536642</v>
      </c>
      <c r="I32" s="15">
        <f>Y11</f>
        <v>67194.088534177004</v>
      </c>
    </row>
  </sheetData>
  <conditionalFormatting sqref="G21:I21">
    <cfRule type="cellIs" dxfId="1" priority="1" operator="greaterThan">
      <formula>10000000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rightToLeft="1" topLeftCell="F21" workbookViewId="0">
      <selection activeCell="G42" sqref="G42"/>
    </sheetView>
  </sheetViews>
  <sheetFormatPr defaultRowHeight="15" x14ac:dyDescent="0.2"/>
  <cols>
    <col min="1" max="1" width="11.21875" hidden="1" customWidth="1"/>
    <col min="2" max="3" width="12.21875" hidden="1" customWidth="1"/>
    <col min="4" max="4" width="10.77734375" hidden="1" customWidth="1"/>
    <col min="5" max="5" width="0" hidden="1" customWidth="1"/>
    <col min="6" max="6" width="31.21875" customWidth="1"/>
    <col min="7" max="10" width="26.6640625" customWidth="1"/>
    <col min="11" max="11" width="10.88671875" bestFit="1" customWidth="1"/>
    <col min="23" max="25" width="9.77734375" bestFit="1" customWidth="1"/>
  </cols>
  <sheetData>
    <row r="1" spans="1:25" hidden="1" x14ac:dyDescent="0.2">
      <c r="A1" t="s">
        <v>0</v>
      </c>
    </row>
    <row r="2" spans="1:25" hidden="1" x14ac:dyDescent="0.2"/>
    <row r="3" spans="1:25" hidden="1" x14ac:dyDescent="0.2">
      <c r="A3" t="s">
        <v>1</v>
      </c>
      <c r="B3">
        <v>100000</v>
      </c>
    </row>
    <row r="4" spans="1:25" hidden="1" x14ac:dyDescent="0.2"/>
    <row r="5" spans="1:25" hidden="1" x14ac:dyDescent="0.2">
      <c r="B5" t="s">
        <v>2</v>
      </c>
      <c r="O5" t="s">
        <v>5</v>
      </c>
      <c r="S5" t="s">
        <v>5</v>
      </c>
    </row>
    <row r="6" spans="1:25" ht="15.75" hidden="1" x14ac:dyDescent="0.25">
      <c r="A6" s="2" t="s">
        <v>9</v>
      </c>
      <c r="B6" s="2" t="s">
        <v>6</v>
      </c>
      <c r="C6" s="2" t="s">
        <v>7</v>
      </c>
      <c r="D6" s="2" t="s">
        <v>8</v>
      </c>
      <c r="F6" t="s">
        <v>5</v>
      </c>
      <c r="G6" t="s">
        <v>12</v>
      </c>
      <c r="H6" t="s">
        <v>13</v>
      </c>
      <c r="I6" t="s">
        <v>14</v>
      </c>
      <c r="W6" t="s">
        <v>15</v>
      </c>
    </row>
    <row r="7" spans="1:25" ht="15.75" hidden="1" x14ac:dyDescent="0.25">
      <c r="A7" s="2" t="s">
        <v>20</v>
      </c>
      <c r="B7" s="1">
        <v>4500000</v>
      </c>
      <c r="C7" s="1">
        <v>3500000</v>
      </c>
      <c r="D7" s="1">
        <v>1500000</v>
      </c>
      <c r="F7">
        <v>150</v>
      </c>
      <c r="G7" s="6" t="str">
        <f>G23</f>
        <v>גבוה</v>
      </c>
      <c r="H7" s="6" t="str">
        <f t="shared" ref="H7:I7" si="0">H23</f>
        <v>נמוך</v>
      </c>
      <c r="I7" s="6" t="str">
        <f t="shared" si="0"/>
        <v>בינוני</v>
      </c>
      <c r="K7">
        <f>HLOOKUP(G7,$A$6:$D$9,2,0)</f>
        <v>4500000</v>
      </c>
      <c r="L7">
        <f>HLOOKUP(H7,$A$6:$D$9,2,0)</f>
        <v>1500000</v>
      </c>
      <c r="M7">
        <f>HLOOKUP(I7,$A$6:$D$9,2,0)</f>
        <v>3500000</v>
      </c>
      <c r="O7">
        <f>_xlfn.RANK.AVG(K7,$K7:$M7,1)*2+IF(G7="גבוה",3,IF(G7="בינוני",2,0))</f>
        <v>9</v>
      </c>
      <c r="P7">
        <f t="shared" ref="P7:Q9" si="1">_xlfn.RANK.AVG(L7,$K7:$M7,1)*2+IF(H7="גבוה",3,IF(H7="בינוני",2,0))</f>
        <v>2</v>
      </c>
      <c r="Q7">
        <f t="shared" si="1"/>
        <v>6</v>
      </c>
      <c r="S7">
        <f t="shared" ref="S7:U9" si="2">O7^3*$F7</f>
        <v>109350</v>
      </c>
      <c r="T7">
        <f t="shared" si="2"/>
        <v>1200</v>
      </c>
      <c r="U7">
        <f t="shared" si="2"/>
        <v>32400</v>
      </c>
    </row>
    <row r="8" spans="1:25" ht="15.75" hidden="1" x14ac:dyDescent="0.25">
      <c r="A8" s="2" t="s">
        <v>3</v>
      </c>
      <c r="B8" s="1">
        <v>2500000</v>
      </c>
      <c r="C8" s="1">
        <v>1500000</v>
      </c>
      <c r="D8" s="1">
        <v>500000</v>
      </c>
      <c r="F8">
        <v>400</v>
      </c>
      <c r="G8" s="6" t="str">
        <f t="shared" ref="G8:I10" si="3">G24</f>
        <v>נמוך</v>
      </c>
      <c r="H8" s="6" t="str">
        <f t="shared" si="3"/>
        <v>בינוני</v>
      </c>
      <c r="I8" s="6" t="str">
        <f t="shared" si="3"/>
        <v>נמוך</v>
      </c>
      <c r="K8">
        <f>HLOOKUP(G8,$A$6:$D$9,3,0)</f>
        <v>500000</v>
      </c>
      <c r="L8">
        <f>HLOOKUP(H8,$A$6:$D$9,3,0)</f>
        <v>1500000</v>
      </c>
      <c r="M8">
        <f>HLOOKUP(I8,$A$6:$D$9,3,0)</f>
        <v>500000</v>
      </c>
      <c r="O8">
        <f t="shared" ref="O8:O9" si="4">_xlfn.RANK.AVG(K8,$K8:$M8,1)*2+IF(G8="גבוה",3,IF(G8="בינוני",2,0))</f>
        <v>3</v>
      </c>
      <c r="P8">
        <f t="shared" si="1"/>
        <v>8</v>
      </c>
      <c r="Q8">
        <f t="shared" si="1"/>
        <v>3</v>
      </c>
      <c r="S8">
        <f t="shared" si="2"/>
        <v>10800</v>
      </c>
      <c r="T8">
        <f t="shared" si="2"/>
        <v>204800</v>
      </c>
      <c r="U8">
        <f t="shared" si="2"/>
        <v>10800</v>
      </c>
    </row>
    <row r="9" spans="1:25" ht="15.75" hidden="1" x14ac:dyDescent="0.25">
      <c r="A9" s="2" t="s">
        <v>10</v>
      </c>
      <c r="B9" s="1">
        <v>1000</v>
      </c>
      <c r="C9" s="1">
        <v>500</v>
      </c>
      <c r="D9" s="1">
        <v>250</v>
      </c>
      <c r="F9">
        <v>1000</v>
      </c>
      <c r="G9" s="6" t="str">
        <f t="shared" si="3"/>
        <v>נמוך</v>
      </c>
      <c r="H9" s="6" t="str">
        <f t="shared" si="3"/>
        <v>גבוה</v>
      </c>
      <c r="I9" s="6" t="str">
        <f t="shared" si="3"/>
        <v>בינוני</v>
      </c>
      <c r="K9">
        <f>HLOOKUP(G9,$A$6:$D$9,4,0)+(K7+K8)/100000</f>
        <v>300</v>
      </c>
      <c r="L9">
        <f t="shared" ref="L9:M9" si="5">HLOOKUP(H9,$A$6:$D$9,4,0)+(L7+L8)/100000</f>
        <v>1030</v>
      </c>
      <c r="M9">
        <f t="shared" si="5"/>
        <v>540</v>
      </c>
      <c r="O9">
        <f t="shared" si="4"/>
        <v>2</v>
      </c>
      <c r="P9">
        <f t="shared" si="1"/>
        <v>9</v>
      </c>
      <c r="Q9">
        <f t="shared" si="1"/>
        <v>6</v>
      </c>
      <c r="S9">
        <f>O9^3*$F9</f>
        <v>8000</v>
      </c>
      <c r="T9">
        <f t="shared" si="2"/>
        <v>729000</v>
      </c>
      <c r="U9">
        <f t="shared" si="2"/>
        <v>216000</v>
      </c>
      <c r="W9" s="1">
        <f>SUM(S7:S9)/SUM($S$7:$U$9)*0.35*$B$3</f>
        <v>3391.8780958142693</v>
      </c>
      <c r="X9" s="1">
        <f>SUM(T7:T9)/SUM($S$7:$U$9)*0.35*$B$3</f>
        <v>24747.608424395959</v>
      </c>
      <c r="Y9" s="1">
        <f>SUM(U7:U9)/SUM($S$7:$U$9)*0.35*$B$3</f>
        <v>6860.5134797897681</v>
      </c>
    </row>
    <row r="10" spans="1:25" ht="15.75" hidden="1" x14ac:dyDescent="0.25">
      <c r="A10" s="2" t="s">
        <v>4</v>
      </c>
      <c r="B10">
        <v>3000</v>
      </c>
      <c r="C10">
        <v>2000</v>
      </c>
      <c r="D10">
        <v>1000</v>
      </c>
      <c r="F10">
        <v>130</v>
      </c>
      <c r="G10" s="6" t="str">
        <f t="shared" si="3"/>
        <v>גבוה</v>
      </c>
      <c r="H10" s="6" t="str">
        <f t="shared" si="3"/>
        <v>גבוה</v>
      </c>
      <c r="I10" s="6" t="str">
        <f t="shared" si="3"/>
        <v>נמוך</v>
      </c>
      <c r="K10">
        <f>HLOOKUP(G10,$A$6:$D$10,5,0)</f>
        <v>3000</v>
      </c>
      <c r="L10">
        <f>HLOOKUP(H10,$A$6:$D$10,5,0)</f>
        <v>3000</v>
      </c>
      <c r="M10">
        <f>HLOOKUP(I10,$A$6:$D$10,5,0)</f>
        <v>1000</v>
      </c>
      <c r="O10">
        <f>(_xlfn.RANK.AVG(K10,$K10:$M10,0)+IF(G10="גבוה",0,IF(G10="בינוני",1,5)))*(AVERAGE(O7:O9)^0.5)</f>
        <v>3.2403703492039302</v>
      </c>
      <c r="P10">
        <f>(_xlfn.RANK.AVG(L10,$K10:$M10,0)+IF(H10="גבוה",0,IF(H10="בינוני",1,5)))*(AVERAGE(P7:P9)^0.5)</f>
        <v>3.7749172176353749</v>
      </c>
      <c r="Q10">
        <f>(_xlfn.RANK.AVG(M10,$K10:$M10,0)+IF(I10="גבוה",0,IF(I10="בינוני",1,5)))*(AVERAGE(Q7:Q9)^0.5)</f>
        <v>17.888543819998318</v>
      </c>
      <c r="S10">
        <f>O10^2*$F10</f>
        <v>1365</v>
      </c>
      <c r="T10">
        <f>P10^2*$F10</f>
        <v>1852.5</v>
      </c>
      <c r="U10">
        <f>Q10^2*$F10</f>
        <v>41600.000000000007</v>
      </c>
      <c r="W10" s="1">
        <f>S10/SUM($S10:$U10)*0.65*$B$3</f>
        <v>1979.6954314720811</v>
      </c>
      <c r="X10" s="1">
        <f>T10/SUM($S10:$U10)*0.65*$B$3</f>
        <v>2686.7295141406812</v>
      </c>
      <c r="Y10" s="1">
        <f>U10/SUM($S10:$U10)*0.65*$B$3</f>
        <v>60333.575054387242</v>
      </c>
    </row>
    <row r="11" spans="1:25" ht="15.75" hidden="1" x14ac:dyDescent="0.25">
      <c r="A11" s="2"/>
      <c r="B11" s="3"/>
      <c r="F11" s="13">
        <f>SUM(F7:F10)</f>
        <v>1680</v>
      </c>
      <c r="G11" s="5">
        <f>HLOOKUP(G7,$B$12:$D$17,2,0)+HLOOKUP(G8,$B$12:$D$17,3,0)+HLOOKUP(G9,$B$12:$D$17,4,0)+HLOOKUP(G10,$B$12:$D$17,5,0)</f>
        <v>6000000</v>
      </c>
      <c r="H11" s="5">
        <f>HLOOKUP(H7,$B$12:$D$17,2,0)+HLOOKUP(H8,$B$12:$D$17,3,0)+HLOOKUP(H9,$B$12:$D$17,4,0)+HLOOKUP(H10,$B$12:$D$17,5,0)</f>
        <v>8000000</v>
      </c>
      <c r="I11" s="5">
        <f>HLOOKUP(I7,$B$12:$D$17,2,0)+HLOOKUP(I8,$B$12:$D$17,3,0)+HLOOKUP(I9,$B$12:$D$17,4,0)+HLOOKUP(I10,$B$12:$D$17,5,0)</f>
        <v>10000000</v>
      </c>
      <c r="S11" s="2">
        <f>SUM(S7:S10)</f>
        <v>129515</v>
      </c>
      <c r="T11" s="2">
        <f>SUM(T7:T10)</f>
        <v>936852.5</v>
      </c>
      <c r="U11" s="2">
        <f>SUM(U7:U10)</f>
        <v>300800</v>
      </c>
      <c r="W11" s="1">
        <f>W9+W10</f>
        <v>5371.5735272863503</v>
      </c>
      <c r="X11" s="1">
        <f>X9+X10</f>
        <v>27434.337938536642</v>
      </c>
      <c r="Y11" s="1">
        <f>Y9+Y10</f>
        <v>67194.088534177004</v>
      </c>
    </row>
    <row r="12" spans="1:25" ht="15.75" hidden="1" x14ac:dyDescent="0.25">
      <c r="B12" s="2" t="s">
        <v>6</v>
      </c>
      <c r="C12" s="2" t="s">
        <v>7</v>
      </c>
      <c r="D12" s="2" t="s">
        <v>8</v>
      </c>
      <c r="G12" t="str">
        <f>G6</f>
        <v>קבוצה א</v>
      </c>
      <c r="H12" t="str">
        <f>H6</f>
        <v>קבוצה ב</v>
      </c>
      <c r="I12" t="str">
        <f>I6</f>
        <v>קבוצה ג</v>
      </c>
    </row>
    <row r="13" spans="1:25" ht="15.75" hidden="1" x14ac:dyDescent="0.25">
      <c r="A13" s="2" t="s">
        <v>20</v>
      </c>
      <c r="B13" s="3">
        <v>6500000</v>
      </c>
      <c r="C13" s="3">
        <v>4500000</v>
      </c>
      <c r="D13" s="3">
        <v>1500000</v>
      </c>
      <c r="F13" s="2" t="s">
        <v>16</v>
      </c>
      <c r="G13" s="4">
        <f>W11*K10+G11-1000000</f>
        <v>21114720.581859052</v>
      </c>
      <c r="H13" s="4">
        <f>X11*L10+H11-1000000</f>
        <v>89303013.815609932</v>
      </c>
      <c r="I13" s="4">
        <f>Y11*M10+I11-1000000</f>
        <v>76194088.534177005</v>
      </c>
    </row>
    <row r="14" spans="1:25" ht="15.75" hidden="1" x14ac:dyDescent="0.25">
      <c r="A14" s="2" t="s">
        <v>3</v>
      </c>
      <c r="B14" s="3">
        <v>5500000</v>
      </c>
      <c r="C14" s="3">
        <v>3500000</v>
      </c>
      <c r="D14" s="3">
        <v>1500000</v>
      </c>
      <c r="F14" s="2" t="s">
        <v>17</v>
      </c>
      <c r="G14" s="4">
        <f>W11*K9</f>
        <v>1611472.058185905</v>
      </c>
      <c r="H14" s="4">
        <f>X11*L9</f>
        <v>28257368.076692741</v>
      </c>
      <c r="I14" s="4">
        <f>Y11*M9</f>
        <v>36284807.808455579</v>
      </c>
    </row>
    <row r="15" spans="1:25" ht="15.75" hidden="1" x14ac:dyDescent="0.25">
      <c r="A15" s="2" t="s">
        <v>10</v>
      </c>
      <c r="B15" s="3">
        <v>7500000</v>
      </c>
      <c r="C15" s="3">
        <v>5500000</v>
      </c>
      <c r="D15" s="3">
        <v>2500000</v>
      </c>
      <c r="F15" s="2" t="s">
        <v>18</v>
      </c>
      <c r="G15" s="4">
        <f>K8+K7</f>
        <v>5000000</v>
      </c>
      <c r="H15" s="4">
        <f>L8+L7</f>
        <v>3000000</v>
      </c>
      <c r="I15" s="4">
        <f>M8+M7</f>
        <v>4000000</v>
      </c>
    </row>
    <row r="16" spans="1:25" ht="15.75" hidden="1" x14ac:dyDescent="0.25">
      <c r="A16" s="2" t="s">
        <v>4</v>
      </c>
      <c r="B16" s="3">
        <v>-4500000</v>
      </c>
      <c r="C16" s="3">
        <v>-2500000</v>
      </c>
      <c r="D16" s="3">
        <v>-1500000</v>
      </c>
      <c r="F16" s="2" t="s">
        <v>11</v>
      </c>
      <c r="G16" s="5">
        <f>G13-G14-G15</f>
        <v>14503248.523673147</v>
      </c>
      <c r="H16" s="5">
        <f>H13-H14-H15</f>
        <v>58045645.738917187</v>
      </c>
      <c r="I16" s="5">
        <f>I13-I14-I15</f>
        <v>35909280.725721426</v>
      </c>
      <c r="K16" s="4">
        <f>SUM(G16:I16)</f>
        <v>108458174.98831177</v>
      </c>
    </row>
    <row r="17" spans="1:9" hidden="1" x14ac:dyDescent="0.2"/>
    <row r="18" spans="1:9" hidden="1" x14ac:dyDescent="0.2"/>
    <row r="19" spans="1:9" hidden="1" x14ac:dyDescent="0.2"/>
    <row r="20" spans="1:9" hidden="1" x14ac:dyDescent="0.2"/>
    <row r="21" spans="1:9" ht="15.75" thickBot="1" x14ac:dyDescent="0.25">
      <c r="F21" t="s">
        <v>26</v>
      </c>
      <c r="G21" s="21">
        <f>G11</f>
        <v>6000000</v>
      </c>
      <c r="H21" s="21">
        <f>H11</f>
        <v>8000000</v>
      </c>
      <c r="I21" s="21">
        <f>I11</f>
        <v>10000000</v>
      </c>
    </row>
    <row r="22" spans="1:9" ht="45.75" thickBot="1" x14ac:dyDescent="0.25">
      <c r="B22" t="s">
        <v>12</v>
      </c>
      <c r="F22" s="7" t="s">
        <v>19</v>
      </c>
      <c r="G22" s="7" t="str">
        <f>G6</f>
        <v>קבוצה א</v>
      </c>
      <c r="H22" s="7" t="str">
        <f t="shared" ref="H22:I22" si="6">H6</f>
        <v>קבוצה ב</v>
      </c>
      <c r="I22" s="7" t="str">
        <f t="shared" si="6"/>
        <v>קבוצה ג</v>
      </c>
    </row>
    <row r="23" spans="1:9" ht="46.5" thickTop="1" thickBot="1" x14ac:dyDescent="0.3">
      <c r="A23" s="2" t="s">
        <v>20</v>
      </c>
      <c r="B23" s="6" t="s">
        <v>7</v>
      </c>
      <c r="C23" s="4">
        <f>HLOOKUP($B23,$B$12:$D$17,2,0)</f>
        <v>4500000</v>
      </c>
      <c r="F23" s="8" t="s">
        <v>20</v>
      </c>
      <c r="G23" s="9" t="s">
        <v>6</v>
      </c>
      <c r="H23" s="9" t="s">
        <v>8</v>
      </c>
      <c r="I23" s="9" t="s">
        <v>7</v>
      </c>
    </row>
    <row r="24" spans="1:9" ht="45.75" thickBot="1" x14ac:dyDescent="0.3">
      <c r="A24" s="2" t="s">
        <v>3</v>
      </c>
      <c r="B24" s="6" t="s">
        <v>7</v>
      </c>
      <c r="C24" s="4">
        <f>HLOOKUP($B24,$B$12:$D$17,3,0)</f>
        <v>3500000</v>
      </c>
      <c r="F24" s="10" t="s">
        <v>3</v>
      </c>
      <c r="G24" s="11" t="s">
        <v>8</v>
      </c>
      <c r="H24" s="11" t="s">
        <v>7</v>
      </c>
      <c r="I24" s="11" t="s">
        <v>8</v>
      </c>
    </row>
    <row r="25" spans="1:9" ht="45.75" thickBot="1" x14ac:dyDescent="0.3">
      <c r="A25" s="2" t="s">
        <v>10</v>
      </c>
      <c r="B25" s="6" t="s">
        <v>7</v>
      </c>
      <c r="C25" s="4">
        <f>HLOOKUP($B25,$B$12:$D$17,4,0)</f>
        <v>5500000</v>
      </c>
      <c r="F25" s="10" t="s">
        <v>21</v>
      </c>
      <c r="G25" s="12" t="s">
        <v>8</v>
      </c>
      <c r="H25" s="12" t="s">
        <v>6</v>
      </c>
      <c r="I25" s="12" t="s">
        <v>7</v>
      </c>
    </row>
    <row r="26" spans="1:9" ht="45.75" thickBot="1" x14ac:dyDescent="0.3">
      <c r="A26" s="2" t="s">
        <v>4</v>
      </c>
      <c r="B26" s="6" t="s">
        <v>7</v>
      </c>
      <c r="C26" s="4">
        <f>HLOOKUP($B26,$B$12:$D$17,5,0)</f>
        <v>-2500000</v>
      </c>
      <c r="F26" s="10" t="s">
        <v>4</v>
      </c>
      <c r="G26" s="11" t="s">
        <v>6</v>
      </c>
      <c r="H26" s="11" t="s">
        <v>6</v>
      </c>
      <c r="I26" s="11" t="s">
        <v>8</v>
      </c>
    </row>
    <row r="27" spans="1:9" ht="90" hidden="1" x14ac:dyDescent="0.2">
      <c r="C27" s="4">
        <f>SUM(C23:C26)</f>
        <v>11000000</v>
      </c>
      <c r="F27" s="14" t="s">
        <v>22</v>
      </c>
      <c r="G27" s="15">
        <f>HLOOKUP(G23,$B$12:$D$17,2,0)+HLOOKUP(G24,$B$12:$D$17,3,0)+HLOOKUP(G25,$B$12:$D$17,4,0)+HLOOKUP(G26,$B$12:$D$17,5,0)</f>
        <v>6000000</v>
      </c>
      <c r="H27" s="15">
        <f>HLOOKUP(H23,$B$12:$D$17,2,0)+HLOOKUP(H24,$B$12:$D$17,3,0)+HLOOKUP(H25,$B$12:$D$17,4,0)+HLOOKUP(H26,$B$12:$D$17,5,0)</f>
        <v>8000000</v>
      </c>
      <c r="I27" s="15">
        <f>HLOOKUP(I23,$B$12:$D$17,2,0)+HLOOKUP(I24,$B$12:$D$17,3,0)+HLOOKUP(I25,$B$12:$D$17,4,0)+HLOOKUP(I26,$B$12:$D$17,5,0)</f>
        <v>10000000</v>
      </c>
    </row>
    <row r="28" spans="1:9" hidden="1" x14ac:dyDescent="0.2"/>
    <row r="29" spans="1:9" ht="135" hidden="1" x14ac:dyDescent="0.2">
      <c r="F29" s="14" t="s">
        <v>23</v>
      </c>
      <c r="G29" s="15">
        <f>ROUND(W11,-3)</f>
        <v>5000</v>
      </c>
      <c r="H29" s="15">
        <f>ROUND(X11,-3)</f>
        <v>27000</v>
      </c>
      <c r="I29" s="15">
        <f>ROUND(Y11,-3)</f>
        <v>67000</v>
      </c>
    </row>
    <row r="31" spans="1:9" ht="78.75" x14ac:dyDescent="0.2">
      <c r="F31" s="16" t="s">
        <v>28</v>
      </c>
      <c r="G31" s="15">
        <f>ROUND(G16,-4)/1000</f>
        <v>14500</v>
      </c>
      <c r="H31" s="15">
        <f>ROUND(H16,-4)/1000</f>
        <v>58050</v>
      </c>
      <c r="I31" s="15">
        <f>ROUND(I16,-4)/1000</f>
        <v>35910</v>
      </c>
    </row>
    <row r="32" spans="1:9" ht="67.5" x14ac:dyDescent="0.2">
      <c r="F32" s="20" t="s">
        <v>27</v>
      </c>
      <c r="G32" s="15">
        <f>W11</f>
        <v>5371.5735272863503</v>
      </c>
      <c r="H32" s="15">
        <f>X11</f>
        <v>27434.337938536642</v>
      </c>
      <c r="I32" s="15">
        <f>Y11</f>
        <v>67194.088534177004</v>
      </c>
    </row>
  </sheetData>
  <conditionalFormatting sqref="G21:I21">
    <cfRule type="cellIs" dxfId="0" priority="1" operator="greaterThan">
      <formula>10000000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showGridLines="0" rightToLeft="1" topLeftCell="A2" workbookViewId="0">
      <selection activeCell="A5" sqref="A5"/>
    </sheetView>
  </sheetViews>
  <sheetFormatPr defaultColWidth="0" defaultRowHeight="25.5" zeroHeight="1" x14ac:dyDescent="0.35"/>
  <cols>
    <col min="1" max="1" width="20.6640625" style="18" customWidth="1"/>
    <col min="2" max="2" width="20.33203125" customWidth="1"/>
    <col min="3" max="3" width="13.21875" customWidth="1"/>
    <col min="4" max="8" width="0" hidden="1" customWidth="1"/>
    <col min="9" max="16384" width="8.88671875" hidden="1"/>
  </cols>
  <sheetData>
    <row r="1" spans="1:3" hidden="1" x14ac:dyDescent="0.35"/>
    <row r="2" spans="1:3" ht="26.25" x14ac:dyDescent="0.4">
      <c r="A2" s="17"/>
      <c r="B2" s="17" t="s">
        <v>25</v>
      </c>
      <c r="C2" s="17" t="s">
        <v>24</v>
      </c>
    </row>
    <row r="3" spans="1:3" ht="26.25" x14ac:dyDescent="0.4">
      <c r="A3" s="17" t="s">
        <v>20</v>
      </c>
      <c r="B3" s="19" t="s">
        <v>8</v>
      </c>
      <c r="C3" s="4">
        <f>HLOOKUP($B3,'תוצאות המשחק - לשופט 1'!$B$12:$D$16,2,0)</f>
        <v>1500000</v>
      </c>
    </row>
    <row r="4" spans="1:3" ht="26.25" x14ac:dyDescent="0.4">
      <c r="A4" s="17" t="s">
        <v>3</v>
      </c>
      <c r="B4" s="19" t="s">
        <v>8</v>
      </c>
      <c r="C4" s="4">
        <f>HLOOKUP($B4,'תוצאות המשחק - לשופט 1'!$B$12:$D$16,3,0)</f>
        <v>1500000</v>
      </c>
    </row>
    <row r="5" spans="1:3" ht="26.25" x14ac:dyDescent="0.4">
      <c r="A5" s="17" t="s">
        <v>10</v>
      </c>
      <c r="B5" s="19" t="s">
        <v>8</v>
      </c>
      <c r="C5" s="4">
        <f>HLOOKUP($B5,'תוצאות המשחק - לשופט 1'!$B$12:$D$16,4,0)</f>
        <v>2500000</v>
      </c>
    </row>
    <row r="6" spans="1:3" ht="26.25" x14ac:dyDescent="0.4">
      <c r="A6" s="17" t="s">
        <v>4</v>
      </c>
      <c r="B6" s="19" t="s">
        <v>8</v>
      </c>
      <c r="C6" s="4">
        <f>HLOOKUP($B6,'תוצאות המשחק - לשופט 1'!$B$12:$D$16,5,0)</f>
        <v>-1500000</v>
      </c>
    </row>
    <row r="7" spans="1:3" x14ac:dyDescent="0.35">
      <c r="C7" s="4">
        <f>SUM(C3:C6)</f>
        <v>4000000</v>
      </c>
    </row>
  </sheetData>
  <conditionalFormatting sqref="C7">
    <cfRule type="cellIs" dxfId="2" priority="1" operator="greaterThan">
      <formula>10000000</formula>
    </cfRule>
  </conditionalFormatting>
  <dataValidations count="1">
    <dataValidation type="list" allowBlank="1" showInputMessage="1" showErrorMessage="1" sqref="B3:B6">
      <formula1>"גבוה, בינוני, נמוך"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showGridLines="0" rightToLeft="1" topLeftCell="F21" zoomScale="80" zoomScaleNormal="80" workbookViewId="0">
      <selection activeCell="F21" sqref="F21:I32"/>
    </sheetView>
  </sheetViews>
  <sheetFormatPr defaultRowHeight="15" x14ac:dyDescent="0.2"/>
  <cols>
    <col min="1" max="1" width="11.21875" hidden="1" customWidth="1"/>
    <col min="2" max="3" width="12.21875" hidden="1" customWidth="1"/>
    <col min="4" max="4" width="10.77734375" hidden="1" customWidth="1"/>
    <col min="5" max="5" width="0" hidden="1" customWidth="1"/>
    <col min="6" max="6" width="33.21875" customWidth="1"/>
    <col min="7" max="10" width="26.6640625" customWidth="1"/>
    <col min="11" max="11" width="10.88671875" bestFit="1" customWidth="1"/>
    <col min="23" max="25" width="9.77734375" bestFit="1" customWidth="1"/>
  </cols>
  <sheetData>
    <row r="1" spans="1:25" hidden="1" x14ac:dyDescent="0.2">
      <c r="A1" t="s">
        <v>0</v>
      </c>
    </row>
    <row r="2" spans="1:25" hidden="1" x14ac:dyDescent="0.2"/>
    <row r="3" spans="1:25" hidden="1" x14ac:dyDescent="0.2">
      <c r="A3" t="s">
        <v>1</v>
      </c>
      <c r="B3">
        <v>100000</v>
      </c>
    </row>
    <row r="4" spans="1:25" hidden="1" x14ac:dyDescent="0.2"/>
    <row r="5" spans="1:25" hidden="1" x14ac:dyDescent="0.2">
      <c r="B5" t="s">
        <v>2</v>
      </c>
      <c r="O5" t="s">
        <v>5</v>
      </c>
      <c r="S5" t="s">
        <v>5</v>
      </c>
    </row>
    <row r="6" spans="1:25" ht="15.75" hidden="1" x14ac:dyDescent="0.25">
      <c r="A6" s="2" t="s">
        <v>9</v>
      </c>
      <c r="B6" s="2" t="s">
        <v>6</v>
      </c>
      <c r="C6" s="2" t="s">
        <v>7</v>
      </c>
      <c r="D6" s="2" t="s">
        <v>8</v>
      </c>
      <c r="F6" t="s">
        <v>5</v>
      </c>
      <c r="G6" t="str">
        <f>'תוצאות המשחק - לשופט 1'!G6</f>
        <v>קבוצה א</v>
      </c>
      <c r="H6" t="str">
        <f>'תוצאות המשחק - לשופט 1'!H6</f>
        <v>קבוצה ב</v>
      </c>
      <c r="I6" t="str">
        <f>'תוצאות המשחק - לשופט 1'!I6</f>
        <v>קבוצה ג</v>
      </c>
      <c r="W6" t="s">
        <v>15</v>
      </c>
    </row>
    <row r="7" spans="1:25" ht="15.75" hidden="1" x14ac:dyDescent="0.25">
      <c r="A7" s="2" t="s">
        <v>20</v>
      </c>
      <c r="B7" s="1">
        <v>4500000</v>
      </c>
      <c r="C7" s="1">
        <v>3500000</v>
      </c>
      <c r="D7" s="1">
        <v>1500000</v>
      </c>
      <c r="F7">
        <v>150</v>
      </c>
      <c r="G7" s="6" t="s">
        <v>6</v>
      </c>
      <c r="H7" s="6" t="s">
        <v>8</v>
      </c>
      <c r="I7" s="6" t="s">
        <v>7</v>
      </c>
      <c r="K7">
        <f>HLOOKUP(G7,$A$6:$D$9,2,0)</f>
        <v>4500000</v>
      </c>
      <c r="L7">
        <f>HLOOKUP(H7,$A$6:$D$9,2,0)</f>
        <v>1500000</v>
      </c>
      <c r="M7">
        <f>HLOOKUP(I7,$A$6:$D$9,2,0)</f>
        <v>3500000</v>
      </c>
      <c r="O7">
        <f>_xlfn.RANK.AVG(K7,$K7:$M7,1)*2+IF(G7="גבוה",3,IF(G7="בינוני",2,0))</f>
        <v>9</v>
      </c>
      <c r="P7">
        <f t="shared" ref="P7:Q9" si="0">_xlfn.RANK.AVG(L7,$K7:$M7,1)*2+IF(H7="גבוה",3,IF(H7="בינוני",2,0))</f>
        <v>2</v>
      </c>
      <c r="Q7">
        <f t="shared" si="0"/>
        <v>6</v>
      </c>
      <c r="S7">
        <f t="shared" ref="S7:U9" si="1">O7^3*$F7</f>
        <v>109350</v>
      </c>
      <c r="T7">
        <f t="shared" si="1"/>
        <v>1200</v>
      </c>
      <c r="U7">
        <f t="shared" si="1"/>
        <v>32400</v>
      </c>
    </row>
    <row r="8" spans="1:25" ht="15.75" hidden="1" x14ac:dyDescent="0.25">
      <c r="A8" s="2" t="s">
        <v>3</v>
      </c>
      <c r="B8" s="1">
        <v>2500000</v>
      </c>
      <c r="C8" s="1">
        <v>1500000</v>
      </c>
      <c r="D8" s="1">
        <v>500000</v>
      </c>
      <c r="F8">
        <v>400</v>
      </c>
      <c r="G8" s="6" t="s">
        <v>6</v>
      </c>
      <c r="H8" s="6" t="s">
        <v>7</v>
      </c>
      <c r="I8" s="6" t="s">
        <v>8</v>
      </c>
      <c r="K8">
        <f>HLOOKUP(G8,$A$6:$D$9,3,0)</f>
        <v>2500000</v>
      </c>
      <c r="L8">
        <f>HLOOKUP(H8,$A$6:$D$9,3,0)</f>
        <v>1500000</v>
      </c>
      <c r="M8">
        <f>HLOOKUP(I8,$A$6:$D$9,3,0)</f>
        <v>500000</v>
      </c>
      <c r="O8">
        <f t="shared" ref="O8:O9" si="2">_xlfn.RANK.AVG(K8,$K8:$M8,1)*2+IF(G8="גבוה",3,IF(G8="בינוני",2,0))</f>
        <v>9</v>
      </c>
      <c r="P8">
        <f t="shared" si="0"/>
        <v>6</v>
      </c>
      <c r="Q8">
        <f t="shared" si="0"/>
        <v>2</v>
      </c>
      <c r="S8">
        <f t="shared" si="1"/>
        <v>291600</v>
      </c>
      <c r="T8">
        <f t="shared" si="1"/>
        <v>86400</v>
      </c>
      <c r="U8">
        <f t="shared" si="1"/>
        <v>3200</v>
      </c>
    </row>
    <row r="9" spans="1:25" ht="15.75" hidden="1" x14ac:dyDescent="0.25">
      <c r="A9" s="2" t="s">
        <v>10</v>
      </c>
      <c r="B9" s="1">
        <v>1000</v>
      </c>
      <c r="C9" s="1">
        <v>500</v>
      </c>
      <c r="D9" s="1">
        <v>250</v>
      </c>
      <c r="F9">
        <v>1000</v>
      </c>
      <c r="G9" s="6" t="s">
        <v>8</v>
      </c>
      <c r="H9" s="6" t="s">
        <v>6</v>
      </c>
      <c r="I9" s="6" t="s">
        <v>7</v>
      </c>
      <c r="K9">
        <f>HLOOKUP(G9,$A$6:$D$9,4,0)+(K7+K8)/100000</f>
        <v>320</v>
      </c>
      <c r="L9">
        <f t="shared" ref="L9:M9" si="3">HLOOKUP(H9,$A$6:$D$9,4,0)+(L7+L8)/100000</f>
        <v>1030</v>
      </c>
      <c r="M9">
        <f t="shared" si="3"/>
        <v>540</v>
      </c>
      <c r="O9">
        <f t="shared" si="2"/>
        <v>2</v>
      </c>
      <c r="P9">
        <f t="shared" si="0"/>
        <v>9</v>
      </c>
      <c r="Q9">
        <f t="shared" si="0"/>
        <v>6</v>
      </c>
      <c r="S9">
        <f>O9^3*$F9</f>
        <v>8000</v>
      </c>
      <c r="T9">
        <f t="shared" si="1"/>
        <v>729000</v>
      </c>
      <c r="U9">
        <f t="shared" si="1"/>
        <v>216000</v>
      </c>
      <c r="W9" s="1">
        <f>SUM(S7:S9)/SUM($S$7:$U$9)*0.35*$B$3</f>
        <v>9689.7742273973527</v>
      </c>
      <c r="X9" s="1">
        <f>SUM(T7:T9)/SUM($S$7:$U$9)*0.35*$B$3</f>
        <v>19348.745895812881</v>
      </c>
      <c r="Y9" s="1">
        <f>SUM(U7:U9)/SUM($S$7:$U$9)*0.35*$B$3</f>
        <v>5961.4798767897628</v>
      </c>
    </row>
    <row r="10" spans="1:25" ht="15.75" hidden="1" x14ac:dyDescent="0.25">
      <c r="A10" s="2" t="s">
        <v>4</v>
      </c>
      <c r="B10">
        <v>3000</v>
      </c>
      <c r="C10">
        <v>2000</v>
      </c>
      <c r="D10">
        <v>1000</v>
      </c>
      <c r="F10">
        <v>130</v>
      </c>
      <c r="G10" s="6" t="s">
        <v>6</v>
      </c>
      <c r="H10" s="6" t="s">
        <v>6</v>
      </c>
      <c r="I10" s="6" t="s">
        <v>8</v>
      </c>
      <c r="K10">
        <f>HLOOKUP(G10,$A$6:$D$10,5,0)</f>
        <v>3000</v>
      </c>
      <c r="L10">
        <f>HLOOKUP(H10,$A$6:$D$10,5,0)</f>
        <v>3000</v>
      </c>
      <c r="M10">
        <f>HLOOKUP(I10,$A$6:$D$10,5,0)</f>
        <v>1000</v>
      </c>
      <c r="O10">
        <f>(_xlfn.RANK.AVG(K10,$K10:$M10,0)+IF(G10="גבוה",0,IF(G10="בינוני",1,5)))*(AVERAGE(O7:O9)^0.5)</f>
        <v>3.872983346207417</v>
      </c>
      <c r="P10">
        <f>(_xlfn.RANK.AVG(L10,$K10:$M10,0)+IF(H10="גבוה",0,IF(H10="בינוני",1,5)))*(AVERAGE(P7:P9)^0.5)</f>
        <v>3.5707142142714252</v>
      </c>
      <c r="Q10">
        <f>(_xlfn.RANK.AVG(M10,$K10:$M10,0)+IF(I10="גבוה",0,IF(I10="בינוני",1,5)))*(AVERAGE(Q7:Q9)^0.5)</f>
        <v>17.281975195754296</v>
      </c>
      <c r="S10">
        <f>O10^2*$F10</f>
        <v>1950.0000000000002</v>
      </c>
      <c r="T10">
        <f>P10^2*$F10</f>
        <v>1657.5000000000002</v>
      </c>
      <c r="U10">
        <f>Q10^2*$F10</f>
        <v>38826.666666666679</v>
      </c>
      <c r="W10" s="1">
        <f>S10/SUM($S10:$U10)*0.65*$B$3</f>
        <v>2986.9798315037015</v>
      </c>
      <c r="X10" s="1">
        <f>T10/SUM($S10:$U10)*0.65*$B$3</f>
        <v>2538.9328567781463</v>
      </c>
      <c r="Y10" s="1">
        <f>U10/SUM($S10:$U10)*0.65*$B$3</f>
        <v>59474.087311718162</v>
      </c>
    </row>
    <row r="11" spans="1:25" ht="15.75" hidden="1" x14ac:dyDescent="0.25">
      <c r="A11" s="2"/>
      <c r="B11" s="3"/>
      <c r="F11" s="13">
        <f>SUM(F7:F10)</f>
        <v>1680</v>
      </c>
      <c r="G11" s="5">
        <f>HLOOKUP(G7,$B$12:$D$17,2,0)+HLOOKUP(G8,$B$12:$D$17,3,0)+HLOOKUP(G9,$B$12:$D$17,4,0)+HLOOKUP(G10,$B$12:$D$17,5,0)</f>
        <v>10000000</v>
      </c>
      <c r="H11" s="5">
        <f>HLOOKUP(H7,$B$12:$D$17,2,0)+HLOOKUP(H8,$B$12:$D$17,3,0)+HLOOKUP(H9,$B$12:$D$17,4,0)+HLOOKUP(H10,$B$12:$D$17,5,0)</f>
        <v>8000000</v>
      </c>
      <c r="I11" s="5">
        <f>HLOOKUP(I7,$B$12:$D$17,2,0)+HLOOKUP(I8,$B$12:$D$17,3,0)+HLOOKUP(I9,$B$12:$D$17,4,0)+HLOOKUP(I10,$B$12:$D$17,5,0)</f>
        <v>10000000</v>
      </c>
      <c r="S11" s="2">
        <f>SUM(S7:S10)</f>
        <v>410900</v>
      </c>
      <c r="T11" s="2">
        <f>SUM(T7:T10)</f>
        <v>818257.5</v>
      </c>
      <c r="U11" s="2">
        <f>SUM(U7:U10)</f>
        <v>290426.66666666669</v>
      </c>
      <c r="W11" s="1">
        <f>W9+W10</f>
        <v>12676.754058901053</v>
      </c>
      <c r="X11" s="1">
        <f>X9+X10</f>
        <v>21887.678752591026</v>
      </c>
      <c r="Y11" s="1">
        <f>Y9+Y10</f>
        <v>65435.567188507921</v>
      </c>
    </row>
    <row r="12" spans="1:25" ht="15.75" hidden="1" x14ac:dyDescent="0.25">
      <c r="B12" s="2" t="s">
        <v>6</v>
      </c>
      <c r="C12" s="2" t="s">
        <v>7</v>
      </c>
      <c r="D12" s="2" t="s">
        <v>8</v>
      </c>
      <c r="G12" t="str">
        <f>G6</f>
        <v>קבוצה א</v>
      </c>
      <c r="H12" t="str">
        <f>H6</f>
        <v>קבוצה ב</v>
      </c>
      <c r="I12" t="str">
        <f>I6</f>
        <v>קבוצה ג</v>
      </c>
    </row>
    <row r="13" spans="1:25" ht="15.75" hidden="1" x14ac:dyDescent="0.25">
      <c r="A13" s="2" t="s">
        <v>20</v>
      </c>
      <c r="B13" s="3">
        <v>6500000</v>
      </c>
      <c r="C13" s="3">
        <v>4500000</v>
      </c>
      <c r="D13" s="3">
        <v>1500000</v>
      </c>
      <c r="F13" s="2" t="s">
        <v>16</v>
      </c>
      <c r="G13" s="4">
        <f>W11*K10+G11-1000000</f>
        <v>47030262.176703162</v>
      </c>
      <c r="H13" s="4">
        <f>X11*L10+H11-1000000</f>
        <v>72663036.257773072</v>
      </c>
      <c r="I13" s="4">
        <f>Y11*M10+I11-1000000</f>
        <v>74435567.188507915</v>
      </c>
    </row>
    <row r="14" spans="1:25" ht="15.75" hidden="1" x14ac:dyDescent="0.25">
      <c r="A14" s="2" t="s">
        <v>3</v>
      </c>
      <c r="B14" s="3">
        <v>5500000</v>
      </c>
      <c r="C14" s="3">
        <v>3500000</v>
      </c>
      <c r="D14" s="3">
        <v>1500000</v>
      </c>
      <c r="F14" s="2" t="s">
        <v>17</v>
      </c>
      <c r="G14" s="4">
        <f>W11*K9</f>
        <v>4056561.298848337</v>
      </c>
      <c r="H14" s="4">
        <f>X11*L9</f>
        <v>22544309.115168758</v>
      </c>
      <c r="I14" s="4">
        <f>Y11*M9</f>
        <v>35335206.28179428</v>
      </c>
    </row>
    <row r="15" spans="1:25" ht="15.75" hidden="1" x14ac:dyDescent="0.25">
      <c r="A15" s="2" t="s">
        <v>10</v>
      </c>
      <c r="B15" s="3">
        <v>7500000</v>
      </c>
      <c r="C15" s="3">
        <v>5500000</v>
      </c>
      <c r="D15" s="3">
        <v>2500000</v>
      </c>
      <c r="F15" s="2" t="s">
        <v>18</v>
      </c>
      <c r="G15" s="4">
        <f>K8+K7</f>
        <v>7000000</v>
      </c>
      <c r="H15" s="4">
        <f>L8+L7</f>
        <v>3000000</v>
      </c>
      <c r="I15" s="4">
        <f>M8+M7</f>
        <v>4000000</v>
      </c>
    </row>
    <row r="16" spans="1:25" ht="15.75" hidden="1" x14ac:dyDescent="0.25">
      <c r="A16" s="2" t="s">
        <v>4</v>
      </c>
      <c r="B16" s="3">
        <v>-4500000</v>
      </c>
      <c r="C16" s="3">
        <v>-2500000</v>
      </c>
      <c r="D16" s="3">
        <v>-1500000</v>
      </c>
      <c r="F16" s="2" t="s">
        <v>11</v>
      </c>
      <c r="G16" s="5">
        <f>G13-G14-G15</f>
        <v>35973700.877854824</v>
      </c>
      <c r="H16" s="5">
        <f>H13-H14-H15</f>
        <v>47118727.142604314</v>
      </c>
      <c r="I16" s="5">
        <f>I13-I14-I15</f>
        <v>35100360.906713635</v>
      </c>
      <c r="K16" s="4">
        <f>SUM(G16:I16)</f>
        <v>118192788.92717278</v>
      </c>
    </row>
    <row r="17" spans="1:9" hidden="1" x14ac:dyDescent="0.2"/>
    <row r="18" spans="1:9" hidden="1" x14ac:dyDescent="0.2"/>
    <row r="19" spans="1:9" hidden="1" x14ac:dyDescent="0.2"/>
    <row r="20" spans="1:9" hidden="1" x14ac:dyDescent="0.2"/>
    <row r="21" spans="1:9" ht="15.75" thickBot="1" x14ac:dyDescent="0.25">
      <c r="F21" t="s">
        <v>26</v>
      </c>
    </row>
    <row r="22" spans="1:9" ht="45.75" thickBot="1" x14ac:dyDescent="0.25">
      <c r="B22" t="s">
        <v>12</v>
      </c>
      <c r="F22" s="7" t="s">
        <v>19</v>
      </c>
      <c r="G22" s="7" t="str">
        <f>G6</f>
        <v>קבוצה א</v>
      </c>
      <c r="H22" s="7" t="str">
        <f t="shared" ref="H22:I22" si="4">H6</f>
        <v>קבוצה ב</v>
      </c>
      <c r="I22" s="7" t="str">
        <f t="shared" si="4"/>
        <v>קבוצה ג</v>
      </c>
    </row>
    <row r="23" spans="1:9" ht="46.5" thickTop="1" thickBot="1" x14ac:dyDescent="0.3">
      <c r="A23" s="2" t="s">
        <v>20</v>
      </c>
      <c r="B23" s="6" t="s">
        <v>7</v>
      </c>
      <c r="C23" s="4">
        <f>HLOOKUP($B23,$B$12:$D$17,2,0)</f>
        <v>4500000</v>
      </c>
      <c r="F23" s="8" t="s">
        <v>20</v>
      </c>
      <c r="G23" s="9" t="str">
        <f t="shared" ref="G23:I26" si="5">G7</f>
        <v>גבוה</v>
      </c>
      <c r="H23" s="9" t="str">
        <f t="shared" si="5"/>
        <v>נמוך</v>
      </c>
      <c r="I23" s="9" t="str">
        <f t="shared" si="5"/>
        <v>בינוני</v>
      </c>
    </row>
    <row r="24" spans="1:9" ht="45.75" thickBot="1" x14ac:dyDescent="0.3">
      <c r="A24" s="2" t="s">
        <v>3</v>
      </c>
      <c r="B24" s="6" t="s">
        <v>7</v>
      </c>
      <c r="C24" s="4">
        <f>HLOOKUP($B24,$B$12:$D$17,3,0)</f>
        <v>3500000</v>
      </c>
      <c r="F24" s="10" t="s">
        <v>3</v>
      </c>
      <c r="G24" s="11" t="str">
        <f t="shared" si="5"/>
        <v>גבוה</v>
      </c>
      <c r="H24" s="11" t="str">
        <f t="shared" si="5"/>
        <v>בינוני</v>
      </c>
      <c r="I24" s="11" t="str">
        <f t="shared" si="5"/>
        <v>נמוך</v>
      </c>
    </row>
    <row r="25" spans="1:9" ht="45.75" thickBot="1" x14ac:dyDescent="0.3">
      <c r="A25" s="2" t="s">
        <v>10</v>
      </c>
      <c r="B25" s="6" t="s">
        <v>7</v>
      </c>
      <c r="C25" s="4">
        <f>HLOOKUP($B25,$B$12:$D$17,4,0)</f>
        <v>5500000</v>
      </c>
      <c r="F25" s="10" t="s">
        <v>21</v>
      </c>
      <c r="G25" s="12" t="str">
        <f t="shared" si="5"/>
        <v>נמוך</v>
      </c>
      <c r="H25" s="12" t="str">
        <f t="shared" si="5"/>
        <v>גבוה</v>
      </c>
      <c r="I25" s="12" t="str">
        <f t="shared" si="5"/>
        <v>בינוני</v>
      </c>
    </row>
    <row r="26" spans="1:9" ht="45.75" thickBot="1" x14ac:dyDescent="0.3">
      <c r="A26" s="2" t="s">
        <v>4</v>
      </c>
      <c r="B26" s="6" t="s">
        <v>7</v>
      </c>
      <c r="C26" s="4">
        <f>HLOOKUP($B26,$B$12:$D$17,5,0)</f>
        <v>-2500000</v>
      </c>
      <c r="F26" s="10" t="s">
        <v>4</v>
      </c>
      <c r="G26" s="11" t="str">
        <f t="shared" si="5"/>
        <v>גבוה</v>
      </c>
      <c r="H26" s="11" t="str">
        <f t="shared" si="5"/>
        <v>גבוה</v>
      </c>
      <c r="I26" s="11" t="str">
        <f t="shared" si="5"/>
        <v>נמוך</v>
      </c>
    </row>
    <row r="27" spans="1:9" ht="90" hidden="1" x14ac:dyDescent="0.2">
      <c r="C27" s="4">
        <f>SUM(C23:C26)</f>
        <v>11000000</v>
      </c>
      <c r="F27" s="14" t="s">
        <v>22</v>
      </c>
      <c r="G27" s="15">
        <f>HLOOKUP(G23,$B$12:$D$17,2,0)+HLOOKUP(G24,$B$12:$D$17,3,0)+HLOOKUP(G25,$B$12:$D$17,4,0)+HLOOKUP(G26,$B$12:$D$17,5,0)</f>
        <v>10000000</v>
      </c>
      <c r="H27" s="15">
        <f>HLOOKUP(H23,$B$12:$D$17,2,0)+HLOOKUP(H24,$B$12:$D$17,3,0)+HLOOKUP(H25,$B$12:$D$17,4,0)+HLOOKUP(H26,$B$12:$D$17,5,0)</f>
        <v>8000000</v>
      </c>
      <c r="I27" s="15">
        <f>HLOOKUP(I23,$B$12:$D$17,2,0)+HLOOKUP(I24,$B$12:$D$17,3,0)+HLOOKUP(I25,$B$12:$D$17,4,0)+HLOOKUP(I26,$B$12:$D$17,5,0)</f>
        <v>10000000</v>
      </c>
    </row>
    <row r="28" spans="1:9" hidden="1" x14ac:dyDescent="0.2"/>
    <row r="29" spans="1:9" ht="135" hidden="1" x14ac:dyDescent="0.2">
      <c r="F29" s="14" t="s">
        <v>23</v>
      </c>
      <c r="G29" s="15">
        <f>ROUND(W11,-3)</f>
        <v>13000</v>
      </c>
      <c r="H29" s="15">
        <f>ROUND(X11,-3)</f>
        <v>22000</v>
      </c>
      <c r="I29" s="15">
        <f>ROUND(Y11,-3)</f>
        <v>65000</v>
      </c>
    </row>
    <row r="31" spans="1:9" ht="45" x14ac:dyDescent="0.2">
      <c r="F31" s="16" t="s">
        <v>28</v>
      </c>
      <c r="G31" s="15">
        <f>ROUND(G16,-4)/1000</f>
        <v>35970</v>
      </c>
      <c r="H31" s="15">
        <f>ROUND(H16,-4)/1000</f>
        <v>47120</v>
      </c>
      <c r="I31" s="15">
        <f>ROUND(I16,-4)/1000</f>
        <v>35100</v>
      </c>
    </row>
    <row r="32" spans="1:9" ht="67.5" x14ac:dyDescent="0.2">
      <c r="F32" s="20" t="s">
        <v>27</v>
      </c>
      <c r="G32" s="15">
        <f>W11</f>
        <v>12676.754058901053</v>
      </c>
      <c r="H32" s="15">
        <f>X11</f>
        <v>21887.678752591026</v>
      </c>
      <c r="I32" s="15">
        <f>Y11</f>
        <v>65435.567188507921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תוצאות המשחק - לשופט 1</vt:lpstr>
      <vt:lpstr>תוצאות המשחק - לשופט 2</vt:lpstr>
      <vt:lpstr>מחשבון</vt:lpstr>
      <vt:lpstr>טיוטה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Widawsky, Tzvi</dc:creator>
  <cp:lastModifiedBy>user</cp:lastModifiedBy>
  <dcterms:created xsi:type="dcterms:W3CDTF">2017-12-27T20:03:53Z</dcterms:created>
  <dcterms:modified xsi:type="dcterms:W3CDTF">2018-07-30T11:40:30Z</dcterms:modified>
</cp:coreProperties>
</file>